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70" activeTab="0"/>
  </bookViews>
  <sheets>
    <sheet name="GRASKAUF" sheetId="1" r:id="rId1"/>
  </sheets>
  <definedNames>
    <definedName name="_Regression_Int" localSheetId="0" hidden="1">1</definedName>
    <definedName name="_xlnm.Print_Area" localSheetId="0">'GRASKAUF'!$A$1:$K$58</definedName>
    <definedName name="Druckbereich_MI" localSheetId="0">'GRASKAUF'!$D$1:$K$60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<sst xmlns="http://schemas.openxmlformats.org/spreadsheetml/2006/main" count="154" uniqueCount="132">
  <si>
    <t>Zukauf / Produktionskosten von Grassilage:</t>
  </si>
  <si>
    <t>Formel:</t>
  </si>
  <si>
    <t>Beispiel:</t>
  </si>
  <si>
    <t>Eigene Werte</t>
  </si>
  <si>
    <t>A</t>
  </si>
  <si>
    <t>Silage - Ertrag</t>
  </si>
  <si>
    <t>cbm / ha</t>
  </si>
  <si>
    <t>Ertrag (netto)</t>
  </si>
  <si>
    <t>dt TS / ha</t>
  </si>
  <si>
    <t>C</t>
  </si>
  <si>
    <t>x Energiedichte</t>
  </si>
  <si>
    <t>MJ / kg TS</t>
  </si>
  <si>
    <t>= MJ NEL / ha</t>
  </si>
  <si>
    <t>= MJ NEL / cbm</t>
  </si>
  <si>
    <t>F</t>
  </si>
  <si>
    <t>Variable Kosten</t>
  </si>
  <si>
    <t>EUR / ha</t>
  </si>
  <si>
    <t xml:space="preserve"> (Düngung, Pflege, Pfl.schutz, </t>
  </si>
  <si>
    <t xml:space="preserve">  Maschinenaufwand incl. AfA und Rep.)</t>
  </si>
  <si>
    <t>EUR / cbm</t>
  </si>
  <si>
    <t>EUR / 10 MJ NEL</t>
  </si>
  <si>
    <t>Sonstige Kosten:</t>
  </si>
  <si>
    <t>I</t>
  </si>
  <si>
    <t>Pacht   (netto)</t>
  </si>
  <si>
    <t>Ia</t>
  </si>
  <si>
    <t>- AGZ / Flächenprämie</t>
  </si>
  <si>
    <t>J</t>
  </si>
  <si>
    <t>Lagerraum - Kosten</t>
  </si>
  <si>
    <t>EUR / cbm / Jahr</t>
  </si>
  <si>
    <t>= Lagerraumkosten</t>
  </si>
  <si>
    <t>L</t>
  </si>
  <si>
    <t>Zinsanspruch für Maschinen</t>
  </si>
  <si>
    <t>M</t>
  </si>
  <si>
    <t>Arbeitszeit</t>
  </si>
  <si>
    <t>AKh / ha</t>
  </si>
  <si>
    <t>= Arbeitskosten</t>
  </si>
  <si>
    <t>Sonstige Kosten insg.</t>
  </si>
  <si>
    <t>Vollkosten</t>
  </si>
  <si>
    <t>EUR / dt FM</t>
  </si>
  <si>
    <t>Verkauf von Grassilage</t>
  </si>
  <si>
    <t>R</t>
  </si>
  <si>
    <t>TS-Gehalt</t>
  </si>
  <si>
    <t>x Raumgewicht der Silage</t>
  </si>
  <si>
    <t>= kg FM / cbm</t>
  </si>
  <si>
    <t>T</t>
  </si>
  <si>
    <t>= Verdichtung der Silage</t>
  </si>
  <si>
    <t>kg TS /cbm</t>
  </si>
  <si>
    <t xml:space="preserve">  (kann schwanken von 170 - 220 kg TS / cbm)</t>
  </si>
  <si>
    <t>U</t>
  </si>
  <si>
    <t>Energiekonzentration</t>
  </si>
  <si>
    <t>MJ NEL / kg TS</t>
  </si>
  <si>
    <t xml:space="preserve"> (Qualität)</t>
  </si>
  <si>
    <t>W</t>
  </si>
  <si>
    <t>Zukaufspreis</t>
  </si>
  <si>
    <t>EUR / cbm Silage</t>
  </si>
  <si>
    <t>=</t>
  </si>
  <si>
    <t>EUR / dt Silage</t>
  </si>
  <si>
    <t>+ Transport:</t>
  </si>
  <si>
    <t>Entfernungs-km (einfach)</t>
  </si>
  <si>
    <t>km</t>
  </si>
  <si>
    <t>Y</t>
  </si>
  <si>
    <t>Ladung</t>
  </si>
  <si>
    <t>cbm / Fuhre</t>
  </si>
  <si>
    <t>Z</t>
  </si>
  <si>
    <t>Schlepperstunden / Fuhre</t>
  </si>
  <si>
    <t>Sh</t>
  </si>
  <si>
    <t>a</t>
  </si>
  <si>
    <t>MBR-Satz Schlepper incl. Fahrer</t>
  </si>
  <si>
    <t>EUR / Sh</t>
  </si>
  <si>
    <t>Transportkosten</t>
  </si>
  <si>
    <t>Zukaufspreis incl. Transport</t>
  </si>
  <si>
    <t>Zum Vergleich:</t>
  </si>
  <si>
    <t>e</t>
  </si>
  <si>
    <t>Gerste (incl. MWSt. + Mahlen)</t>
  </si>
  <si>
    <t>EUR/dt</t>
  </si>
  <si>
    <t>f</t>
  </si>
  <si>
    <t>MJ NEL/kg</t>
  </si>
  <si>
    <t>EUR/10 MJ</t>
  </si>
  <si>
    <t>h</t>
  </si>
  <si>
    <t>Milchleistungsfutter (incl. MWSt.)</t>
  </si>
  <si>
    <t>i</t>
  </si>
  <si>
    <t>Biertreber (frei Hof / incl. MWSt.)</t>
  </si>
  <si>
    <t xml:space="preserve"> (ohne Lagerraum)</t>
  </si>
  <si>
    <t>% TS</t>
  </si>
  <si>
    <t>MJ/kg TS</t>
  </si>
  <si>
    <t>- abzgl. Silierverluste</t>
  </si>
  <si>
    <t>%</t>
  </si>
  <si>
    <t>= Kosten der Biertreber-Silage</t>
  </si>
  <si>
    <t>B</t>
  </si>
  <si>
    <t>D</t>
  </si>
  <si>
    <t>= A x T / 100</t>
  </si>
  <si>
    <t>= B x C x 100</t>
  </si>
  <si>
    <t>= D / A</t>
  </si>
  <si>
    <t>E</t>
  </si>
  <si>
    <t>= F / A</t>
  </si>
  <si>
    <t>G</t>
  </si>
  <si>
    <t>H</t>
  </si>
  <si>
    <t>= F / D x 10</t>
  </si>
  <si>
    <t>K</t>
  </si>
  <si>
    <t>= A x J</t>
  </si>
  <si>
    <t>N</t>
  </si>
  <si>
    <t>= M x 15</t>
  </si>
  <si>
    <t>O</t>
  </si>
  <si>
    <t>P</t>
  </si>
  <si>
    <t>= O / B * R / 100</t>
  </si>
  <si>
    <t>= O / A</t>
  </si>
  <si>
    <t>Pa</t>
  </si>
  <si>
    <t>Q</t>
  </si>
  <si>
    <t>= O / D x 10</t>
  </si>
  <si>
    <t>= T / R x 100</t>
  </si>
  <si>
    <t>S</t>
  </si>
  <si>
    <t>= T x U</t>
  </si>
  <si>
    <t>V</t>
  </si>
  <si>
    <t>= W / S x 100</t>
  </si>
  <si>
    <t>Wa</t>
  </si>
  <si>
    <t>X</t>
  </si>
  <si>
    <t>= W / V x 10</t>
  </si>
  <si>
    <t>b</t>
  </si>
  <si>
    <t>= Z x a / Y</t>
  </si>
  <si>
    <t>c</t>
  </si>
  <si>
    <t>= W + b</t>
  </si>
  <si>
    <t>d</t>
  </si>
  <si>
    <t>= c / V x 10</t>
  </si>
  <si>
    <t>g</t>
  </si>
  <si>
    <t>= e / f / 10</t>
  </si>
  <si>
    <t>j</t>
  </si>
  <si>
    <t>= h / i / 10</t>
  </si>
  <si>
    <t>Nr.</t>
  </si>
  <si>
    <t>Na</t>
  </si>
  <si>
    <t>= C</t>
  </si>
  <si>
    <t>= (I+Ia+K+L+N) / D x 100</t>
  </si>
  <si>
    <t>= F+I+Ia+K+L+N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</si>
</sst>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#.##000"/>
    <numFmt numFmtId="174" formatCode="\$#,#00"/>
    <numFmt numFmtId="175" formatCode="#,#00"/>
    <numFmt numFmtId="176" formatCode="%#,#00"/>
    <numFmt numFmtId="177" formatCode="#,"/>
    <numFmt numFmtId="178" formatCode="d&quot;. &quot;m\o\n\ad\ yyyy"/>
    <numFmt numFmtId="179" formatCode="dd\-mmm\-yy_)"/>
    <numFmt numFmtId="180" formatCode="0.0_)"/>
    <numFmt numFmtId="181" formatCode="#,##0_);\(#,##0\)"/>
    <numFmt numFmtId="182" formatCode="0.00_)"/>
    <numFmt numFmtId="183" formatCode="0.000_)"/>
    <numFmt numFmtId="184" formatCode="0_)"/>
    <numFmt numFmtId="185" formatCode="0.0"/>
    <numFmt numFmtId="186" formatCode="#,##0.0_);\(#,##0.0\)"/>
    <numFmt numFmtId="187" formatCode="#,##0.00_);\(#,##0.00\)"/>
    <numFmt numFmtId="188" formatCode="[$-407]dddd\,\ d\.\ mmmm\ yyyy"/>
    <numFmt numFmtId="189" formatCode="dd/mm/yy;@"/>
    <numFmt numFmtId="190" formatCode="##\ ##0"/>
    <numFmt numFmtId="191" formatCode="#\ ##0"/>
    <numFmt numFmtId="192" formatCode="0.000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5" fontId="5" fillId="0" borderId="0">
      <alignment/>
      <protection locked="0"/>
    </xf>
    <xf numFmtId="173" fontId="5" fillId="0" borderId="0">
      <alignment/>
      <protection locked="0"/>
    </xf>
    <xf numFmtId="177" fontId="6" fillId="0" borderId="0">
      <alignment/>
      <protection locked="0"/>
    </xf>
    <xf numFmtId="177" fontId="6" fillId="0" borderId="0">
      <alignment/>
      <protection locked="0"/>
    </xf>
    <xf numFmtId="9" fontId="4" fillId="0" borderId="0" applyFont="0" applyFill="0" applyBorder="0" applyAlignment="0" applyProtection="0"/>
    <xf numFmtId="177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5" fillId="0" borderId="0">
      <alignment/>
      <protection locked="0"/>
    </xf>
  </cellStyleXfs>
  <cellXfs count="66">
    <xf numFmtId="172" fontId="0" fillId="0" borderId="0" xfId="0" applyAlignment="1">
      <alignment/>
    </xf>
    <xf numFmtId="172" fontId="4" fillId="0" borderId="0" xfId="0" applyFont="1" applyAlignment="1">
      <alignment/>
    </xf>
    <xf numFmtId="172" fontId="7" fillId="0" borderId="0" xfId="0" applyFont="1" applyFill="1" applyAlignment="1" applyProtection="1">
      <alignment/>
      <protection/>
    </xf>
    <xf numFmtId="172" fontId="4" fillId="0" borderId="0" xfId="0" applyFont="1" applyFill="1" applyAlignment="1">
      <alignment/>
    </xf>
    <xf numFmtId="14" fontId="4" fillId="0" borderId="0" xfId="0" applyNumberFormat="1" applyFont="1" applyBorder="1" applyAlignment="1">
      <alignment/>
    </xf>
    <xf numFmtId="172" fontId="4" fillId="0" borderId="0" xfId="0" applyFont="1" applyAlignment="1" applyProtection="1">
      <alignment horizontal="left"/>
      <protection/>
    </xf>
    <xf numFmtId="179" fontId="8" fillId="0" borderId="0" xfId="0" applyNumberFormat="1" applyFont="1" applyFill="1" applyAlignment="1" applyProtection="1">
      <alignment/>
      <protection/>
    </xf>
    <xf numFmtId="172" fontId="8" fillId="0" borderId="0" xfId="0" applyFont="1" applyFill="1" applyAlignment="1" applyProtection="1">
      <alignment/>
      <protection/>
    </xf>
    <xf numFmtId="180" fontId="4" fillId="0" borderId="0" xfId="0" applyNumberFormat="1" applyFont="1" applyFill="1" applyAlignment="1" applyProtection="1">
      <alignment/>
      <protection/>
    </xf>
    <xf numFmtId="172" fontId="8" fillId="0" borderId="0" xfId="0" applyFont="1" applyFill="1" applyBorder="1" applyAlignment="1">
      <alignment/>
    </xf>
    <xf numFmtId="172" fontId="4" fillId="0" borderId="0" xfId="0" applyFont="1" applyAlignment="1" applyProtection="1" quotePrefix="1">
      <alignment horizontal="left"/>
      <protection/>
    </xf>
    <xf numFmtId="187" fontId="4" fillId="0" borderId="0" xfId="0" applyNumberFormat="1" applyFont="1" applyFill="1" applyAlignment="1" applyProtection="1">
      <alignment/>
      <protection/>
    </xf>
    <xf numFmtId="172" fontId="8" fillId="0" borderId="0" xfId="0" applyFont="1" applyFill="1" applyAlignment="1">
      <alignment/>
    </xf>
    <xf numFmtId="172" fontId="7" fillId="0" borderId="2" xfId="0" applyFont="1" applyFill="1" applyBorder="1" applyAlignment="1" applyProtection="1">
      <alignment/>
      <protection/>
    </xf>
    <xf numFmtId="172" fontId="8" fillId="0" borderId="2" xfId="0" applyFont="1" applyFill="1" applyBorder="1" applyAlignment="1">
      <alignment/>
    </xf>
    <xf numFmtId="172" fontId="8" fillId="0" borderId="2" xfId="0" applyFont="1" applyFill="1" applyBorder="1" applyAlignment="1" applyProtection="1">
      <alignment/>
      <protection/>
    </xf>
    <xf numFmtId="181" fontId="8" fillId="0" borderId="2" xfId="0" applyNumberFormat="1" applyFont="1" applyFill="1" applyBorder="1" applyAlignment="1" applyProtection="1">
      <alignment/>
      <protection/>
    </xf>
    <xf numFmtId="172" fontId="7" fillId="0" borderId="0" xfId="0" applyFont="1" applyFill="1" applyAlignment="1">
      <alignment/>
    </xf>
    <xf numFmtId="182" fontId="7" fillId="0" borderId="0" xfId="0" applyNumberFormat="1" applyFont="1" applyFill="1" applyAlignment="1" applyProtection="1">
      <alignment/>
      <protection/>
    </xf>
    <xf numFmtId="183" fontId="7" fillId="0" borderId="0" xfId="0" applyNumberFormat="1" applyFont="1" applyFill="1" applyAlignment="1" applyProtection="1">
      <alignment/>
      <protection/>
    </xf>
    <xf numFmtId="172" fontId="4" fillId="0" borderId="0" xfId="0" applyFont="1" applyFill="1" applyAlignment="1" applyProtection="1">
      <alignment/>
      <protection/>
    </xf>
    <xf numFmtId="49" fontId="4" fillId="0" borderId="0" xfId="0" applyNumberFormat="1" applyFont="1" applyAlignment="1">
      <alignment/>
    </xf>
    <xf numFmtId="183" fontId="8" fillId="0" borderId="2" xfId="0" applyNumberFormat="1" applyFont="1" applyFill="1" applyBorder="1" applyAlignment="1" applyProtection="1">
      <alignment/>
      <protection/>
    </xf>
    <xf numFmtId="172" fontId="7" fillId="0" borderId="2" xfId="0" applyFont="1" applyFill="1" applyBorder="1" applyAlignment="1">
      <alignment/>
    </xf>
    <xf numFmtId="181" fontId="7" fillId="0" borderId="2" xfId="0" applyNumberFormat="1" applyFont="1" applyFill="1" applyBorder="1" applyAlignment="1" applyProtection="1">
      <alignment/>
      <protection/>
    </xf>
    <xf numFmtId="172" fontId="7" fillId="0" borderId="0" xfId="0" applyFont="1" applyFill="1" applyBorder="1" applyAlignment="1" applyProtection="1">
      <alignment/>
      <protection/>
    </xf>
    <xf numFmtId="172" fontId="7" fillId="0" borderId="0" xfId="0" applyFont="1" applyFill="1" applyBorder="1" applyAlignment="1">
      <alignment/>
    </xf>
    <xf numFmtId="187" fontId="7" fillId="0" borderId="0" xfId="0" applyNumberFormat="1" applyFont="1" applyFill="1" applyBorder="1" applyAlignment="1" applyProtection="1">
      <alignment/>
      <protection/>
    </xf>
    <xf numFmtId="184" fontId="4" fillId="0" borderId="0" xfId="0" applyNumberFormat="1" applyFont="1" applyFill="1" applyAlignment="1" applyProtection="1">
      <alignment/>
      <protection/>
    </xf>
    <xf numFmtId="184" fontId="7" fillId="0" borderId="0" xfId="0" applyNumberFormat="1" applyFont="1" applyFill="1" applyAlignment="1" applyProtection="1">
      <alignment/>
      <protection/>
    </xf>
    <xf numFmtId="183" fontId="4" fillId="0" borderId="0" xfId="0" applyNumberFormat="1" applyFont="1" applyFill="1" applyAlignment="1" applyProtection="1">
      <alignment/>
      <protection/>
    </xf>
    <xf numFmtId="182" fontId="4" fillId="0" borderId="0" xfId="0" applyNumberFormat="1" applyFont="1" applyFill="1" applyAlignment="1" applyProtection="1">
      <alignment/>
      <protection/>
    </xf>
    <xf numFmtId="172" fontId="4" fillId="0" borderId="3" xfId="0" applyFont="1" applyBorder="1" applyAlignment="1">
      <alignment/>
    </xf>
    <xf numFmtId="182" fontId="8" fillId="0" borderId="2" xfId="0" applyNumberFormat="1" applyFont="1" applyFill="1" applyBorder="1" applyAlignment="1" applyProtection="1">
      <alignment/>
      <protection/>
    </xf>
    <xf numFmtId="182" fontId="8" fillId="0" borderId="0" xfId="0" applyNumberFormat="1" applyFont="1" applyFill="1" applyBorder="1" applyAlignment="1" applyProtection="1">
      <alignment/>
      <protection/>
    </xf>
    <xf numFmtId="172" fontId="4" fillId="0" borderId="3" xfId="0" applyFont="1" applyBorder="1" applyAlignment="1" applyProtection="1">
      <alignment horizontal="left"/>
      <protection/>
    </xf>
    <xf numFmtId="190" fontId="8" fillId="0" borderId="0" xfId="0" applyNumberFormat="1" applyFont="1" applyFill="1" applyBorder="1" applyAlignment="1">
      <alignment/>
    </xf>
    <xf numFmtId="185" fontId="8" fillId="2" borderId="0" xfId="0" applyNumberFormat="1" applyFont="1" applyFill="1" applyBorder="1" applyAlignment="1" applyProtection="1">
      <alignment/>
      <protection locked="0"/>
    </xf>
    <xf numFmtId="2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8" fillId="2" borderId="0" xfId="0" applyNumberFormat="1" applyFont="1" applyFill="1" applyBorder="1" applyAlignment="1" applyProtection="1">
      <alignment/>
      <protection locked="0"/>
    </xf>
    <xf numFmtId="2" fontId="7" fillId="0" borderId="0" xfId="0" applyNumberFormat="1" applyFont="1" applyFill="1" applyAlignment="1" applyProtection="1">
      <alignment/>
      <protection/>
    </xf>
    <xf numFmtId="2" fontId="8" fillId="0" borderId="2" xfId="0" applyNumberFormat="1" applyFont="1" applyFill="1" applyBorder="1" applyAlignment="1">
      <alignment/>
    </xf>
    <xf numFmtId="2" fontId="8" fillId="0" borderId="3" xfId="0" applyNumberFormat="1" applyFont="1" applyFill="1" applyBorder="1" applyAlignment="1">
      <alignment/>
    </xf>
    <xf numFmtId="2" fontId="7" fillId="0" borderId="0" xfId="0" applyNumberFormat="1" applyFont="1" applyFill="1" applyBorder="1" applyAlignment="1" applyProtection="1">
      <alignment/>
      <protection/>
    </xf>
    <xf numFmtId="2" fontId="4" fillId="2" borderId="0" xfId="0" applyNumberFormat="1" applyFont="1" applyFill="1" applyBorder="1" applyAlignment="1" applyProtection="1">
      <alignment/>
      <protection locked="0"/>
    </xf>
    <xf numFmtId="185" fontId="8" fillId="2" borderId="2" xfId="0" applyNumberFormat="1" applyFont="1" applyFill="1" applyBorder="1" applyAlignment="1" applyProtection="1">
      <alignment/>
      <protection locked="0"/>
    </xf>
    <xf numFmtId="191" fontId="8" fillId="0" borderId="0" xfId="0" applyNumberFormat="1" applyFont="1" applyFill="1" applyBorder="1" applyAlignment="1">
      <alignment/>
    </xf>
    <xf numFmtId="1" fontId="8" fillId="2" borderId="2" xfId="0" applyNumberFormat="1" applyFont="1" applyFill="1" applyBorder="1" applyAlignment="1" applyProtection="1">
      <alignment/>
      <protection locked="0"/>
    </xf>
    <xf numFmtId="192" fontId="7" fillId="0" borderId="0" xfId="0" applyNumberFormat="1" applyFont="1" applyFill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/>
      <protection locked="0"/>
    </xf>
    <xf numFmtId="1" fontId="8" fillId="0" borderId="3" xfId="0" applyNumberFormat="1" applyFont="1" applyFill="1" applyBorder="1" applyAlignment="1">
      <alignment/>
    </xf>
    <xf numFmtId="192" fontId="8" fillId="0" borderId="2" xfId="0" applyNumberFormat="1" applyFont="1" applyFill="1" applyBorder="1" applyAlignment="1" applyProtection="1">
      <alignment/>
      <protection/>
    </xf>
    <xf numFmtId="185" fontId="7" fillId="0" borderId="2" xfId="0" applyNumberFormat="1" applyFont="1" applyFill="1" applyBorder="1" applyAlignment="1" applyProtection="1">
      <alignment/>
      <protection/>
    </xf>
    <xf numFmtId="1" fontId="7" fillId="2" borderId="0" xfId="0" applyNumberFormat="1" applyFont="1" applyFill="1" applyBorder="1" applyAlignment="1" applyProtection="1">
      <alignment/>
      <protection locked="0"/>
    </xf>
    <xf numFmtId="192" fontId="8" fillId="0" borderId="0" xfId="0" applyNumberFormat="1" applyFont="1" applyFill="1" applyBorder="1" applyAlignment="1">
      <alignment/>
    </xf>
    <xf numFmtId="191" fontId="8" fillId="0" borderId="3" xfId="0" applyNumberFormat="1" applyFont="1" applyFill="1" applyBorder="1" applyAlignment="1">
      <alignment/>
    </xf>
    <xf numFmtId="1" fontId="4" fillId="2" borderId="0" xfId="0" applyNumberFormat="1" applyFont="1" applyFill="1" applyBorder="1" applyAlignment="1" applyProtection="1">
      <alignment/>
      <protection locked="0"/>
    </xf>
    <xf numFmtId="172" fontId="9" fillId="0" borderId="0" xfId="0" applyFont="1" applyAlignment="1">
      <alignment/>
    </xf>
    <xf numFmtId="172" fontId="10" fillId="0" borderId="0" xfId="0" applyFont="1" applyFill="1" applyAlignment="1" applyProtection="1">
      <alignment/>
      <protection/>
    </xf>
    <xf numFmtId="172" fontId="9" fillId="0" borderId="0" xfId="0" applyFont="1" applyFill="1" applyAlignment="1">
      <alignment/>
    </xf>
    <xf numFmtId="172" fontId="10" fillId="0" borderId="2" xfId="0" applyFont="1" applyFill="1" applyBorder="1" applyAlignment="1" applyProtection="1">
      <alignment/>
      <protection/>
    </xf>
    <xf numFmtId="172" fontId="11" fillId="0" borderId="2" xfId="0" applyFont="1" applyFill="1" applyBorder="1" applyAlignment="1">
      <alignment/>
    </xf>
    <xf numFmtId="2" fontId="11" fillId="0" borderId="2" xfId="0" applyNumberFormat="1" applyFont="1" applyFill="1" applyBorder="1" applyAlignment="1">
      <alignment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Ž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58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2.796875" style="1" customWidth="1"/>
    <col min="2" max="2" width="18.296875" style="1" bestFit="1" customWidth="1"/>
    <col min="3" max="3" width="1.59765625" style="1" customWidth="1"/>
    <col min="4" max="4" width="18.796875" style="1" customWidth="1"/>
    <col min="5" max="6" width="9.796875" style="1" customWidth="1"/>
    <col min="7" max="7" width="10.796875" style="1" customWidth="1"/>
    <col min="8" max="8" width="6.8984375" style="3" bestFit="1" customWidth="1"/>
    <col min="9" max="9" width="1.59765625" style="1" customWidth="1"/>
    <col min="10" max="10" width="9.59765625" style="41" bestFit="1" customWidth="1"/>
    <col min="11" max="11" width="1.2890625" style="1" customWidth="1"/>
    <col min="12" max="16384" width="9.796875" style="1" customWidth="1"/>
  </cols>
  <sheetData>
    <row r="1" spans="4:10" s="60" customFormat="1" ht="15.75">
      <c r="D1" s="61" t="s">
        <v>0</v>
      </c>
      <c r="H1" s="62"/>
      <c r="J1" s="4">
        <f ca="1">TODAY()</f>
        <v>40416</v>
      </c>
    </row>
    <row r="2" ht="12.75">
      <c r="D2" s="2"/>
    </row>
    <row r="3" spans="1:10" ht="12.75">
      <c r="A3" s="5" t="s">
        <v>127</v>
      </c>
      <c r="B3" s="5" t="s">
        <v>1</v>
      </c>
      <c r="C3" s="5"/>
      <c r="D3" s="6"/>
      <c r="H3" s="2" t="s">
        <v>2</v>
      </c>
      <c r="I3" s="5"/>
      <c r="J3" s="41" t="s">
        <v>3</v>
      </c>
    </row>
    <row r="4" spans="1:11" ht="12.75">
      <c r="A4" s="5" t="s">
        <v>4</v>
      </c>
      <c r="B4" s="5"/>
      <c r="C4" s="5"/>
      <c r="D4" s="7" t="s">
        <v>5</v>
      </c>
      <c r="F4" s="5" t="s">
        <v>6</v>
      </c>
      <c r="H4" s="8">
        <v>40</v>
      </c>
      <c r="I4" s="5"/>
      <c r="J4" s="48"/>
      <c r="K4" s="9"/>
    </row>
    <row r="5" spans="1:11" ht="12.75">
      <c r="A5" s="5" t="s">
        <v>88</v>
      </c>
      <c r="B5" s="10" t="s">
        <v>90</v>
      </c>
      <c r="C5" s="10"/>
      <c r="D5" s="7" t="s">
        <v>7</v>
      </c>
      <c r="F5" s="5" t="s">
        <v>8</v>
      </c>
      <c r="H5" s="8">
        <f>H4*H31/100</f>
        <v>76</v>
      </c>
      <c r="I5" s="10"/>
      <c r="J5" s="39">
        <f>IF(J4*J31&gt;0,J4*J31/100,"")</f>
      </c>
      <c r="K5" s="9"/>
    </row>
    <row r="6" spans="1:11" ht="12.75">
      <c r="A6" s="5" t="s">
        <v>9</v>
      </c>
      <c r="B6" s="5"/>
      <c r="C6" s="5"/>
      <c r="D6" s="7" t="s">
        <v>10</v>
      </c>
      <c r="F6" s="5" t="s">
        <v>11</v>
      </c>
      <c r="H6" s="11">
        <v>5.9</v>
      </c>
      <c r="I6" s="5"/>
      <c r="J6" s="42"/>
      <c r="K6" s="9"/>
    </row>
    <row r="7" spans="1:11" ht="12.75">
      <c r="A7" s="5" t="s">
        <v>89</v>
      </c>
      <c r="B7" s="10" t="s">
        <v>91</v>
      </c>
      <c r="C7" s="10"/>
      <c r="F7" s="7" t="s">
        <v>12</v>
      </c>
      <c r="H7" s="36">
        <f>H5*H6*100</f>
        <v>44840</v>
      </c>
      <c r="I7" s="10"/>
      <c r="J7" s="49">
        <f>IF(J6*J5&gt;0,J6*J5*100,"")</f>
      </c>
      <c r="K7" s="9"/>
    </row>
    <row r="8" spans="1:11" ht="12.75">
      <c r="A8" s="5" t="s">
        <v>93</v>
      </c>
      <c r="B8" s="10" t="s">
        <v>92</v>
      </c>
      <c r="C8" s="10"/>
      <c r="D8" s="12"/>
      <c r="F8" s="5" t="s">
        <v>13</v>
      </c>
      <c r="H8" s="36">
        <f>H6*H5/H4*100</f>
        <v>1121</v>
      </c>
      <c r="I8" s="10"/>
      <c r="J8" s="49">
        <f>IF(J7&gt;0,J7/J4,"")</f>
      </c>
      <c r="K8" s="9"/>
    </row>
    <row r="9" spans="1:11" ht="12.75">
      <c r="A9" s="5" t="s">
        <v>14</v>
      </c>
      <c r="B9" s="5"/>
      <c r="C9" s="5"/>
      <c r="D9" s="13" t="s">
        <v>15</v>
      </c>
      <c r="E9" s="14"/>
      <c r="F9" s="15" t="s">
        <v>16</v>
      </c>
      <c r="G9" s="14"/>
      <c r="H9" s="16">
        <v>610</v>
      </c>
      <c r="I9" s="5"/>
      <c r="J9" s="50"/>
      <c r="K9" s="9"/>
    </row>
    <row r="10" spans="4:11" ht="12.75">
      <c r="D10" s="7" t="s">
        <v>17</v>
      </c>
      <c r="J10" s="38"/>
      <c r="K10" s="9"/>
    </row>
    <row r="11" spans="4:11" ht="12.75">
      <c r="D11" s="7" t="s">
        <v>18</v>
      </c>
      <c r="J11" s="38"/>
      <c r="K11" s="9"/>
    </row>
    <row r="12" spans="1:11" ht="12.75">
      <c r="A12" s="5" t="s">
        <v>95</v>
      </c>
      <c r="B12" s="10" t="s">
        <v>94</v>
      </c>
      <c r="C12" s="10"/>
      <c r="D12" s="2" t="s">
        <v>15</v>
      </c>
      <c r="F12" s="2" t="s">
        <v>19</v>
      </c>
      <c r="G12" s="17"/>
      <c r="H12" s="18">
        <f>H9/H4</f>
        <v>15.25</v>
      </c>
      <c r="I12" s="10"/>
      <c r="J12" s="43">
        <f>IF(J9="","",IF(J4="","",J9/J4))</f>
      </c>
      <c r="K12" s="9"/>
    </row>
    <row r="13" spans="1:11" ht="12.75">
      <c r="A13" s="5" t="s">
        <v>96</v>
      </c>
      <c r="B13" s="10" t="s">
        <v>97</v>
      </c>
      <c r="C13" s="10"/>
      <c r="D13" s="12"/>
      <c r="F13" s="2" t="s">
        <v>20</v>
      </c>
      <c r="G13" s="17"/>
      <c r="H13" s="19">
        <f>H9/H7*10</f>
        <v>0.1360392506690455</v>
      </c>
      <c r="I13" s="10"/>
      <c r="J13" s="51">
        <f>IF(J8&gt;0,J9/J7*10,"")</f>
      </c>
      <c r="K13" s="9"/>
    </row>
    <row r="14" spans="4:10" ht="12.75">
      <c r="D14" s="15" t="s">
        <v>21</v>
      </c>
      <c r="E14" s="14"/>
      <c r="F14" s="14"/>
      <c r="G14" s="14"/>
      <c r="H14" s="14"/>
      <c r="J14" s="44"/>
    </row>
    <row r="15" spans="1:11" ht="12.75">
      <c r="A15" s="5" t="s">
        <v>22</v>
      </c>
      <c r="B15" s="5"/>
      <c r="C15" s="5"/>
      <c r="D15" s="7" t="s">
        <v>23</v>
      </c>
      <c r="F15" s="5" t="s">
        <v>16</v>
      </c>
      <c r="H15" s="20">
        <v>100</v>
      </c>
      <c r="I15" s="5"/>
      <c r="J15" s="52"/>
      <c r="K15" s="9"/>
    </row>
    <row r="16" spans="1:11" ht="12.75">
      <c r="A16" s="5" t="s">
        <v>24</v>
      </c>
      <c r="B16" s="5"/>
      <c r="C16" s="5"/>
      <c r="D16" s="7" t="s">
        <v>25</v>
      </c>
      <c r="F16" s="5" t="s">
        <v>16</v>
      </c>
      <c r="H16" s="20">
        <v>-60</v>
      </c>
      <c r="I16" s="5"/>
      <c r="J16" s="52"/>
      <c r="K16" s="9"/>
    </row>
    <row r="17" spans="1:11" ht="12.75">
      <c r="A17" s="5" t="s">
        <v>26</v>
      </c>
      <c r="B17" s="5"/>
      <c r="C17" s="5"/>
      <c r="D17" s="7" t="s">
        <v>27</v>
      </c>
      <c r="F17" s="5" t="s">
        <v>28</v>
      </c>
      <c r="H17" s="8">
        <v>2.4</v>
      </c>
      <c r="I17" s="5"/>
      <c r="J17" s="37"/>
      <c r="K17" s="9"/>
    </row>
    <row r="18" spans="1:11" ht="12.75">
      <c r="A18" s="5" t="s">
        <v>98</v>
      </c>
      <c r="B18" s="10" t="s">
        <v>99</v>
      </c>
      <c r="C18" s="10"/>
      <c r="D18" s="7" t="s">
        <v>29</v>
      </c>
      <c r="F18" s="5" t="s">
        <v>16</v>
      </c>
      <c r="H18" s="3">
        <f>H17*H4</f>
        <v>96</v>
      </c>
      <c r="I18" s="10"/>
      <c r="J18" s="40">
        <f>IF(J4*J17&gt;0,J4*J17,"")</f>
      </c>
      <c r="K18" s="9"/>
    </row>
    <row r="19" spans="1:11" ht="12.75">
      <c r="A19" s="5" t="s">
        <v>30</v>
      </c>
      <c r="B19" s="5"/>
      <c r="C19" s="5"/>
      <c r="D19" s="7" t="s">
        <v>31</v>
      </c>
      <c r="F19" s="5" t="s">
        <v>16</v>
      </c>
      <c r="H19" s="20">
        <v>60</v>
      </c>
      <c r="I19" s="5"/>
      <c r="J19" s="52"/>
      <c r="K19" s="9"/>
    </row>
    <row r="20" spans="1:11" ht="12.75">
      <c r="A20" s="5" t="s">
        <v>32</v>
      </c>
      <c r="B20" s="5"/>
      <c r="C20" s="5"/>
      <c r="D20" s="7" t="s">
        <v>33</v>
      </c>
      <c r="F20" s="5" t="s">
        <v>34</v>
      </c>
      <c r="H20" s="20">
        <v>12</v>
      </c>
      <c r="I20" s="5"/>
      <c r="J20" s="52"/>
      <c r="K20" s="9"/>
    </row>
    <row r="21" spans="1:11" ht="12.75">
      <c r="A21" s="5" t="s">
        <v>100</v>
      </c>
      <c r="B21" s="10" t="s">
        <v>101</v>
      </c>
      <c r="C21" s="10"/>
      <c r="D21" s="2" t="s">
        <v>35</v>
      </c>
      <c r="F21" s="5" t="s">
        <v>16</v>
      </c>
      <c r="H21" s="20">
        <f>H20*15</f>
        <v>180</v>
      </c>
      <c r="I21" s="10"/>
      <c r="J21" s="53">
        <f>IF(J20&gt;0,J20*15,"")</f>
      </c>
      <c r="K21" s="9"/>
    </row>
    <row r="22" spans="1:11" ht="12.75">
      <c r="A22" s="1" t="s">
        <v>128</v>
      </c>
      <c r="B22" s="21" t="s">
        <v>130</v>
      </c>
      <c r="D22" s="13" t="s">
        <v>36</v>
      </c>
      <c r="E22" s="14"/>
      <c r="F22" s="15" t="s">
        <v>20</v>
      </c>
      <c r="G22" s="14"/>
      <c r="H22" s="22">
        <f>(H15+H16+H18+H19+H21)/H7*10</f>
        <v>0.08385370205173952</v>
      </c>
      <c r="J22" s="54">
        <f>IF(J7&gt;0,(J15+J16+J18+J19+J21)/J7*10,"")</f>
      </c>
      <c r="K22" s="9"/>
    </row>
    <row r="23" spans="1:11" ht="12.75">
      <c r="A23" s="5" t="s">
        <v>102</v>
      </c>
      <c r="B23" s="10" t="s">
        <v>131</v>
      </c>
      <c r="C23" s="10"/>
      <c r="D23" s="13" t="s">
        <v>37</v>
      </c>
      <c r="E23" s="23"/>
      <c r="F23" s="13" t="s">
        <v>16</v>
      </c>
      <c r="G23" s="23"/>
      <c r="H23" s="24">
        <f>H9+H15+H16+H18+H19+H21</f>
        <v>986</v>
      </c>
      <c r="I23" s="10"/>
      <c r="J23" s="55">
        <f>IF((J9+J15+J16+J18+J19+J21)&gt;0,J9+J15+J16+J18+J19+J21,"")</f>
      </c>
      <c r="K23" s="9"/>
    </row>
    <row r="24" spans="1:11" ht="12.75">
      <c r="A24" s="5" t="s">
        <v>103</v>
      </c>
      <c r="B24" s="10" t="s">
        <v>104</v>
      </c>
      <c r="C24" s="10"/>
      <c r="D24" s="25"/>
      <c r="E24" s="26"/>
      <c r="F24" s="25" t="s">
        <v>38</v>
      </c>
      <c r="G24" s="26"/>
      <c r="H24" s="27">
        <f>+H23/H4/H30*100</f>
        <v>4.54078947368421</v>
      </c>
      <c r="I24" s="10"/>
      <c r="J24" s="46">
        <f>IF(J5&gt;0,J23/J5*J29/100,"")</f>
      </c>
      <c r="K24" s="9"/>
    </row>
    <row r="25" spans="1:11" ht="12.75">
      <c r="A25" s="5" t="s">
        <v>106</v>
      </c>
      <c r="B25" s="10" t="s">
        <v>105</v>
      </c>
      <c r="C25" s="10"/>
      <c r="D25" s="17"/>
      <c r="E25" s="17"/>
      <c r="F25" s="2" t="s">
        <v>19</v>
      </c>
      <c r="G25" s="17"/>
      <c r="H25" s="18">
        <f>H23/H4</f>
        <v>24.65</v>
      </c>
      <c r="I25" s="10"/>
      <c r="J25" s="43">
        <f>IF(J23="","",IF(J4="","",J23/J4))</f>
      </c>
      <c r="K25" s="9"/>
    </row>
    <row r="26" spans="1:11" ht="12.75">
      <c r="A26" s="5" t="s">
        <v>107</v>
      </c>
      <c r="B26" s="10" t="s">
        <v>108</v>
      </c>
      <c r="C26" s="10"/>
      <c r="D26" s="17"/>
      <c r="E26" s="17"/>
      <c r="F26" s="2" t="s">
        <v>20</v>
      </c>
      <c r="G26" s="17"/>
      <c r="H26" s="19">
        <f>H23/H7*10</f>
        <v>0.21989295272078502</v>
      </c>
      <c r="I26" s="10"/>
      <c r="J26" s="51">
        <f>IF(J23="","",IF(J7="","",J23/J7*10))</f>
      </c>
      <c r="K26" s="9"/>
    </row>
    <row r="27" spans="4:10" s="60" customFormat="1" ht="27.75" customHeight="1">
      <c r="D27" s="63" t="s">
        <v>39</v>
      </c>
      <c r="E27" s="64"/>
      <c r="F27" s="64"/>
      <c r="G27" s="64"/>
      <c r="J27" s="65"/>
    </row>
    <row r="28" spans="1:9" ht="12.75">
      <c r="A28" s="5"/>
      <c r="B28" s="5"/>
      <c r="C28" s="5"/>
      <c r="D28" s="6"/>
      <c r="H28" s="2" t="s">
        <v>2</v>
      </c>
      <c r="I28" s="5"/>
    </row>
    <row r="29" spans="1:11" ht="12.75">
      <c r="A29" s="5" t="s">
        <v>40</v>
      </c>
      <c r="B29" s="5"/>
      <c r="C29" s="5"/>
      <c r="D29" s="5" t="s">
        <v>41</v>
      </c>
      <c r="H29" s="8">
        <v>35</v>
      </c>
      <c r="I29" s="5"/>
      <c r="J29" s="37"/>
      <c r="K29" s="9"/>
    </row>
    <row r="30" spans="1:11" ht="12.75">
      <c r="A30" s="5" t="s">
        <v>110</v>
      </c>
      <c r="B30" s="10" t="s">
        <v>109</v>
      </c>
      <c r="C30" s="10"/>
      <c r="D30" s="5" t="s">
        <v>42</v>
      </c>
      <c r="F30" s="5" t="s">
        <v>43</v>
      </c>
      <c r="H30" s="28">
        <f>H31/H29*100</f>
        <v>542.8571428571429</v>
      </c>
      <c r="I30" s="10"/>
      <c r="J30" s="40">
        <f>IF(J31="","",IF(J29="","",J31/J29*100))</f>
      </c>
      <c r="K30" s="9"/>
    </row>
    <row r="31" spans="1:11" ht="12.75">
      <c r="A31" s="5" t="s">
        <v>44</v>
      </c>
      <c r="B31" s="5"/>
      <c r="C31" s="5"/>
      <c r="D31" s="5" t="s">
        <v>45</v>
      </c>
      <c r="F31" s="5" t="s">
        <v>46</v>
      </c>
      <c r="H31" s="29">
        <v>190</v>
      </c>
      <c r="I31" s="5"/>
      <c r="J31" s="56"/>
      <c r="K31" s="9"/>
    </row>
    <row r="32" spans="4:10" ht="12.75">
      <c r="D32" s="5" t="s">
        <v>47</v>
      </c>
      <c r="H32" s="28"/>
      <c r="J32" s="38"/>
    </row>
    <row r="33" spans="1:11" ht="12.75">
      <c r="A33" s="5" t="s">
        <v>48</v>
      </c>
      <c r="B33" s="10" t="s">
        <v>129</v>
      </c>
      <c r="C33" s="5"/>
      <c r="D33" s="5" t="s">
        <v>49</v>
      </c>
      <c r="F33" s="2" t="s">
        <v>50</v>
      </c>
      <c r="H33" s="18">
        <f>H6</f>
        <v>5.9</v>
      </c>
      <c r="I33" s="5"/>
      <c r="J33" s="38">
        <f>IF(J6&gt;0,J6,"")</f>
      </c>
      <c r="K33" s="9"/>
    </row>
    <row r="34" spans="1:11" ht="12.75">
      <c r="A34" s="5" t="s">
        <v>112</v>
      </c>
      <c r="B34" s="10" t="s">
        <v>111</v>
      </c>
      <c r="C34" s="10"/>
      <c r="D34" s="35" t="s">
        <v>51</v>
      </c>
      <c r="E34" s="32"/>
      <c r="F34" s="35" t="s">
        <v>13</v>
      </c>
      <c r="G34" s="32"/>
      <c r="H34" s="58">
        <f>H33*H31</f>
        <v>1121</v>
      </c>
      <c r="I34" s="10"/>
      <c r="J34" s="58">
        <f>IF(J31&gt;0,J31*J33,"")</f>
      </c>
      <c r="K34" s="9"/>
    </row>
    <row r="35" spans="1:11" ht="12.75">
      <c r="A35" s="5" t="s">
        <v>52</v>
      </c>
      <c r="B35" s="5"/>
      <c r="C35" s="5"/>
      <c r="D35" s="5" t="s">
        <v>53</v>
      </c>
      <c r="F35" s="5" t="s">
        <v>54</v>
      </c>
      <c r="H35" s="18">
        <v>23</v>
      </c>
      <c r="I35" s="5"/>
      <c r="J35" s="42"/>
      <c r="K35" s="9"/>
    </row>
    <row r="36" spans="1:11" ht="12.75">
      <c r="A36" s="5" t="s">
        <v>114</v>
      </c>
      <c r="B36" s="10" t="s">
        <v>113</v>
      </c>
      <c r="C36" s="10"/>
      <c r="D36" s="5" t="s">
        <v>55</v>
      </c>
      <c r="F36" s="5" t="s">
        <v>56</v>
      </c>
      <c r="H36" s="18">
        <f>H35/H30*100</f>
        <v>4.2368421052631575</v>
      </c>
      <c r="I36" s="10"/>
      <c r="J36" s="38">
        <f>IF(J35="","",IF(J30="","",J35/J30*100))</f>
      </c>
      <c r="K36" s="9"/>
    </row>
    <row r="37" spans="1:11" ht="12.75">
      <c r="A37" s="5" t="s">
        <v>115</v>
      </c>
      <c r="B37" s="10" t="s">
        <v>116</v>
      </c>
      <c r="C37" s="10"/>
      <c r="F37" s="5" t="s">
        <v>20</v>
      </c>
      <c r="H37" s="30">
        <f>H35/H34*10</f>
        <v>0.20517395182872436</v>
      </c>
      <c r="I37" s="10"/>
      <c r="J37" s="57">
        <f>IF(J35="","",IF(J34="","",J35/J34*100))</f>
      </c>
      <c r="K37" s="9"/>
    </row>
    <row r="38" spans="4:10" ht="12.75">
      <c r="D38" s="13" t="s">
        <v>57</v>
      </c>
      <c r="E38" s="14"/>
      <c r="F38" s="14"/>
      <c r="G38" s="14"/>
      <c r="H38" s="14"/>
      <c r="J38" s="44"/>
    </row>
    <row r="39" spans="4:10" ht="12.75">
      <c r="D39" s="5" t="s">
        <v>58</v>
      </c>
      <c r="F39" s="5" t="s">
        <v>59</v>
      </c>
      <c r="H39" s="20">
        <v>5</v>
      </c>
      <c r="J39" s="59"/>
    </row>
    <row r="40" spans="1:11" ht="12.75">
      <c r="A40" s="5" t="s">
        <v>60</v>
      </c>
      <c r="B40" s="5"/>
      <c r="C40" s="5"/>
      <c r="D40" s="5" t="s">
        <v>61</v>
      </c>
      <c r="F40" s="5" t="s">
        <v>62</v>
      </c>
      <c r="H40" s="8">
        <v>10</v>
      </c>
      <c r="I40" s="5"/>
      <c r="J40" s="42"/>
      <c r="K40" s="9"/>
    </row>
    <row r="41" spans="1:11" ht="12.75">
      <c r="A41" s="5" t="s">
        <v>63</v>
      </c>
      <c r="B41" s="5"/>
      <c r="C41" s="5"/>
      <c r="D41" s="5" t="s">
        <v>64</v>
      </c>
      <c r="F41" s="5" t="s">
        <v>65</v>
      </c>
      <c r="H41" s="8">
        <v>1</v>
      </c>
      <c r="I41" s="5"/>
      <c r="J41" s="37"/>
      <c r="K41" s="9"/>
    </row>
    <row r="42" spans="1:11" ht="12.75">
      <c r="A42" s="5" t="s">
        <v>66</v>
      </c>
      <c r="B42" s="5"/>
      <c r="C42" s="5"/>
      <c r="D42" s="5" t="s">
        <v>67</v>
      </c>
      <c r="F42" s="5" t="s">
        <v>68</v>
      </c>
      <c r="H42" s="20">
        <v>26</v>
      </c>
      <c r="I42" s="5"/>
      <c r="J42" s="52"/>
      <c r="K42" s="9"/>
    </row>
    <row r="43" spans="1:11" ht="12.75">
      <c r="A43" s="5" t="s">
        <v>117</v>
      </c>
      <c r="B43" s="10" t="s">
        <v>118</v>
      </c>
      <c r="C43" s="10"/>
      <c r="D43" s="5" t="s">
        <v>69</v>
      </c>
      <c r="F43" s="5" t="s">
        <v>54</v>
      </c>
      <c r="H43" s="31">
        <f>H41*H42/H40</f>
        <v>2.6</v>
      </c>
      <c r="I43" s="10"/>
      <c r="J43" s="45">
        <f>IF(J42="","",IF(J40="","",J41*J42/J40))</f>
      </c>
      <c r="K43" s="9"/>
    </row>
    <row r="44" spans="4:10" ht="12.75">
      <c r="D44" s="14"/>
      <c r="E44" s="14"/>
      <c r="F44" s="14"/>
      <c r="G44" s="14"/>
      <c r="H44" s="14"/>
      <c r="J44" s="44"/>
    </row>
    <row r="45" spans="1:11" ht="12.75">
      <c r="A45" s="5" t="s">
        <v>119</v>
      </c>
      <c r="B45" s="10" t="s">
        <v>120</v>
      </c>
      <c r="C45" s="10"/>
      <c r="D45" s="5" t="s">
        <v>70</v>
      </c>
      <c r="F45" s="5" t="s">
        <v>54</v>
      </c>
      <c r="H45" s="31">
        <f>H35+H43</f>
        <v>25.6</v>
      </c>
      <c r="I45" s="10"/>
      <c r="J45" s="38">
        <f>IF((J35+J43)&gt;0,J35+J43,"")</f>
      </c>
      <c r="K45" s="9"/>
    </row>
    <row r="46" spans="1:11" ht="12.75">
      <c r="A46" s="5" t="s">
        <v>121</v>
      </c>
      <c r="B46" s="10" t="s">
        <v>122</v>
      </c>
      <c r="C46" s="10"/>
      <c r="F46" s="5" t="s">
        <v>20</v>
      </c>
      <c r="H46" s="19">
        <f>H45/H34*10</f>
        <v>0.22836752899197146</v>
      </c>
      <c r="I46" s="10"/>
      <c r="J46" s="19">
        <f>IF(J45="","",IF(J34="","",J45/J34*10))</f>
      </c>
      <c r="K46" s="9"/>
    </row>
    <row r="47" spans="4:10" ht="12.75">
      <c r="D47" s="15" t="s">
        <v>71</v>
      </c>
      <c r="E47" s="14"/>
      <c r="F47" s="14"/>
      <c r="G47" s="14"/>
      <c r="H47" s="14"/>
      <c r="J47" s="44"/>
    </row>
    <row r="48" spans="1:10" ht="12.75">
      <c r="A48" s="5" t="s">
        <v>72</v>
      </c>
      <c r="B48" s="5"/>
      <c r="C48" s="5"/>
      <c r="D48" s="2" t="s">
        <v>73</v>
      </c>
      <c r="G48" s="5" t="s">
        <v>74</v>
      </c>
      <c r="H48" s="31">
        <v>18</v>
      </c>
      <c r="I48" s="5"/>
      <c r="J48" s="47"/>
    </row>
    <row r="49" spans="1:10" ht="12.75">
      <c r="A49" s="5" t="s">
        <v>75</v>
      </c>
      <c r="B49" s="5"/>
      <c r="C49" s="5"/>
      <c r="G49" s="5" t="s">
        <v>76</v>
      </c>
      <c r="H49" s="31">
        <v>7.22</v>
      </c>
      <c r="I49" s="5"/>
      <c r="J49" s="47"/>
    </row>
    <row r="50" spans="1:10" ht="12.75">
      <c r="A50" s="5" t="s">
        <v>123</v>
      </c>
      <c r="B50" s="10" t="s">
        <v>124</v>
      </c>
      <c r="C50" s="10"/>
      <c r="G50" s="5" t="s">
        <v>77</v>
      </c>
      <c r="H50" s="19">
        <f>H48/H49/10</f>
        <v>0.24930747922437674</v>
      </c>
      <c r="I50" s="10"/>
      <c r="J50" s="19">
        <f>IF(J48="","",IF(J49="","",J48/J49/10))</f>
      </c>
    </row>
    <row r="51" spans="1:10" ht="12.75">
      <c r="A51" s="5" t="s">
        <v>78</v>
      </c>
      <c r="B51" s="5"/>
      <c r="C51" s="5"/>
      <c r="D51" s="13" t="s">
        <v>79</v>
      </c>
      <c r="E51" s="14"/>
      <c r="F51" s="14"/>
      <c r="G51" s="15" t="s">
        <v>74</v>
      </c>
      <c r="H51" s="33">
        <v>21</v>
      </c>
      <c r="I51" s="5"/>
      <c r="J51" s="47"/>
    </row>
    <row r="52" spans="1:10" ht="12.75">
      <c r="A52" s="5" t="s">
        <v>80</v>
      </c>
      <c r="B52" s="5"/>
      <c r="C52" s="5"/>
      <c r="G52" s="5" t="s">
        <v>76</v>
      </c>
      <c r="H52" s="31">
        <v>6.7</v>
      </c>
      <c r="I52" s="5"/>
      <c r="J52" s="47"/>
    </row>
    <row r="53" spans="1:10" ht="12.75">
      <c r="A53" s="5" t="s">
        <v>125</v>
      </c>
      <c r="B53" s="10" t="s">
        <v>126</v>
      </c>
      <c r="C53" s="10"/>
      <c r="G53" s="5" t="s">
        <v>77</v>
      </c>
      <c r="H53" s="19">
        <f>H51/H52/10</f>
        <v>0.3134328358208955</v>
      </c>
      <c r="I53" s="10"/>
      <c r="J53" s="19">
        <f>IF(J51="","",IF(J52="","",J51/J52/10))</f>
      </c>
    </row>
    <row r="54" spans="4:10" ht="12.75">
      <c r="D54" s="13" t="s">
        <v>81</v>
      </c>
      <c r="E54" s="14"/>
      <c r="F54" s="14"/>
      <c r="G54" s="15" t="s">
        <v>74</v>
      </c>
      <c r="H54" s="33">
        <v>3.2</v>
      </c>
      <c r="J54" s="47"/>
    </row>
    <row r="55" spans="4:10" ht="12.75">
      <c r="D55" s="5" t="s">
        <v>82</v>
      </c>
      <c r="G55" s="5" t="s">
        <v>83</v>
      </c>
      <c r="H55" s="34">
        <v>22</v>
      </c>
      <c r="J55" s="47"/>
    </row>
    <row r="56" spans="4:10" ht="12.75">
      <c r="D56" s="5" t="s">
        <v>49</v>
      </c>
      <c r="G56" s="5" t="s">
        <v>84</v>
      </c>
      <c r="H56" s="34">
        <v>6.5</v>
      </c>
      <c r="J56" s="47"/>
    </row>
    <row r="57" spans="4:10" ht="12.75">
      <c r="D57" s="5" t="s">
        <v>85</v>
      </c>
      <c r="G57" s="5" t="s">
        <v>86</v>
      </c>
      <c r="H57" s="20">
        <v>10</v>
      </c>
      <c r="J57" s="59"/>
    </row>
    <row r="58" spans="4:10" ht="12.75">
      <c r="D58" s="5" t="s">
        <v>87</v>
      </c>
      <c r="G58" s="5" t="s">
        <v>77</v>
      </c>
      <c r="H58" s="19">
        <f>H54/(100-H57)*100/H56/H55*10</f>
        <v>0.2486402486402486</v>
      </c>
      <c r="J58" s="19">
        <f>IF(J54="","",IF(J55="","",IF(J56="","",J54/(100-J57)*100/J56/J55*10)))</f>
      </c>
    </row>
  </sheetData>
  <sheetProtection sheet="1" objects="1" scenarios="1"/>
  <printOptions/>
  <pageMargins left="0.3937007874015748" right="0.3937007874015748" top="1.49" bottom="0.59" header="0.31496062992125984" footer="0.31496062992125984"/>
  <pageSetup fitToHeight="1" fitToWidth="1" horizontalDpi="300" verticalDpi="300" orientation="portrait" paperSize="9" scale="87" r:id="rId2"/>
  <headerFooter alignWithMargins="0">
    <oddHeader>&amp;R&amp;G</oddHeader>
    <oddFooter>&amp;L&amp;"Arial,Standard"&amp;10© DLR Westerwald-Osteifel
   Bahnhofstr. 32, 56410 Montabaur&amp;R&amp;"Arial,Standard"&amp;10Detlef Groß,
Tel. 02602 9228-14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Zukauf Grassilage</dc:title>
  <dc:subject/>
  <dc:creator>DLR Westerwald-Osteifel</dc:creator>
  <cp:keywords/>
  <dc:description/>
  <cp:lastModifiedBy>Holthaus</cp:lastModifiedBy>
  <cp:lastPrinted>2010-08-26T06:50:29Z</cp:lastPrinted>
  <dcterms:created xsi:type="dcterms:W3CDTF">2008-09-12T10:27:03Z</dcterms:created>
  <dcterms:modified xsi:type="dcterms:W3CDTF">2010-08-26T06:52:40Z</dcterms:modified>
  <cp:category/>
  <cp:version/>
  <cp:contentType/>
  <cp:contentStatus/>
</cp:coreProperties>
</file>